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CKUP DNPE\ESCRITORIO 2015\MIREYA URREGO\2015 - 2016\PGD 2013-2015\"/>
    </mc:Choice>
  </mc:AlternateContent>
  <bookViews>
    <workbookView xWindow="0" yWindow="0" windowWidth="28800" windowHeight="12435"/>
  </bookViews>
  <sheets>
    <sheet name="ObjeEstProg" sheetId="1" r:id="rId1"/>
    <sheet name="ObjEstrat" sheetId="2" r:id="rId2"/>
    <sheet name="Sedes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F15" i="3"/>
  <c r="E15" i="3"/>
  <c r="C15" i="3"/>
  <c r="B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D15" i="3" s="1"/>
  <c r="G7" i="3"/>
  <c r="D7" i="3"/>
  <c r="G6" i="3"/>
  <c r="D6" i="3"/>
  <c r="G5" i="3"/>
  <c r="G15" i="3" s="1"/>
  <c r="D5" i="3"/>
  <c r="G10" i="2"/>
  <c r="G9" i="2"/>
  <c r="E9" i="2"/>
  <c r="F9" i="2" s="1"/>
  <c r="C9" i="2"/>
  <c r="B9" i="2"/>
  <c r="G8" i="2"/>
  <c r="F8" i="2"/>
  <c r="E8" i="2"/>
  <c r="C8" i="2"/>
  <c r="B8" i="2"/>
  <c r="G7" i="2"/>
  <c r="E7" i="2"/>
  <c r="F7" i="2" s="1"/>
  <c r="C7" i="2"/>
  <c r="B7" i="2"/>
  <c r="G6" i="2"/>
  <c r="F6" i="2"/>
  <c r="E6" i="2"/>
  <c r="C6" i="2"/>
  <c r="B6" i="2"/>
  <c r="B10" i="2" s="1"/>
  <c r="G5" i="2"/>
  <c r="E5" i="2"/>
  <c r="E10" i="2" s="1"/>
  <c r="C5" i="2"/>
  <c r="B5" i="2"/>
  <c r="D6" i="2" l="1"/>
  <c r="D8" i="2"/>
  <c r="F5" i="2"/>
  <c r="C10" i="2"/>
  <c r="F23" i="1"/>
  <c r="D22" i="1"/>
  <c r="D17" i="1"/>
  <c r="I6" i="1"/>
  <c r="E23" i="1"/>
  <c r="I20" i="1"/>
  <c r="F19" i="1"/>
  <c r="D13" i="1"/>
  <c r="I11" i="1"/>
  <c r="F10" i="1"/>
  <c r="D9" i="1"/>
  <c r="E19" i="1"/>
  <c r="I16" i="1"/>
  <c r="F15" i="1"/>
  <c r="E10" i="1"/>
  <c r="D19" i="1"/>
  <c r="I12" i="1"/>
  <c r="E6" i="1"/>
  <c r="I22" i="1"/>
  <c r="I17" i="1"/>
  <c r="D7" i="1"/>
  <c r="D23" i="1"/>
  <c r="D10" i="1"/>
  <c r="F16" i="1"/>
  <c r="F7" i="1"/>
  <c r="I13" i="1"/>
  <c r="I9" i="1"/>
  <c r="F22" i="1"/>
  <c r="D16" i="1"/>
  <c r="E12" i="1"/>
  <c r="D20" i="1"/>
  <c r="E16" i="1"/>
  <c r="E22" i="1"/>
  <c r="I19" i="1"/>
  <c r="E17" i="1"/>
  <c r="F13" i="1"/>
  <c r="D12" i="1"/>
  <c r="I10" i="1"/>
  <c r="F9" i="1"/>
  <c r="I15" i="1"/>
  <c r="E13" i="1"/>
  <c r="E9" i="1"/>
  <c r="I7" i="1"/>
  <c r="F6" i="1"/>
  <c r="F20" i="1"/>
  <c r="E15" i="1"/>
  <c r="F11" i="1"/>
  <c r="E20" i="1"/>
  <c r="D15" i="1"/>
  <c r="E11" i="1"/>
  <c r="D6" i="1"/>
  <c r="F12" i="1"/>
  <c r="D11" i="1"/>
  <c r="E7" i="1"/>
  <c r="I23" i="1"/>
  <c r="F17" i="1"/>
  <c r="D5" i="2" l="1"/>
  <c r="D10" i="2" s="1"/>
  <c r="D7" i="2"/>
  <c r="D9" i="2"/>
  <c r="F10" i="2"/>
  <c r="J23" i="1"/>
  <c r="D8" i="1"/>
  <c r="D18" i="1"/>
  <c r="E18" i="1"/>
  <c r="F8" i="1"/>
  <c r="G7" i="1" s="1"/>
  <c r="J7" i="1"/>
  <c r="E14" i="1"/>
  <c r="I18" i="1"/>
  <c r="J15" i="1"/>
  <c r="F14" i="1"/>
  <c r="G9" i="1" s="1"/>
  <c r="J10" i="1"/>
  <c r="I21" i="1"/>
  <c r="J19" i="1"/>
  <c r="E24" i="1"/>
  <c r="F24" i="1"/>
  <c r="G22" i="1" s="1"/>
  <c r="J9" i="1"/>
  <c r="I14" i="1"/>
  <c r="J13" i="1"/>
  <c r="J17" i="1"/>
  <c r="J22" i="1"/>
  <c r="I24" i="1"/>
  <c r="E8" i="1"/>
  <c r="J12" i="1"/>
  <c r="D21" i="1"/>
  <c r="F18" i="1"/>
  <c r="G15" i="1" s="1"/>
  <c r="J16" i="1"/>
  <c r="E21" i="1"/>
  <c r="D14" i="1"/>
  <c r="G10" i="1"/>
  <c r="J11" i="1"/>
  <c r="F21" i="1"/>
  <c r="G20" i="1" s="1"/>
  <c r="J20" i="1"/>
  <c r="I8" i="1"/>
  <c r="J6" i="1"/>
  <c r="D24" i="1"/>
  <c r="G23" i="1" l="1"/>
  <c r="J8" i="1"/>
  <c r="D25" i="1"/>
  <c r="E25" i="1"/>
  <c r="F25" i="1"/>
  <c r="H14" i="1" s="1"/>
  <c r="G11" i="1"/>
  <c r="J18" i="1"/>
  <c r="I25" i="1"/>
  <c r="J25" i="1" s="1"/>
  <c r="J24" i="1"/>
  <c r="G16" i="1"/>
  <c r="G24" i="1"/>
  <c r="J21" i="1"/>
  <c r="G12" i="1"/>
  <c r="G19" i="1"/>
  <c r="G21" i="1" s="1"/>
  <c r="G13" i="1"/>
  <c r="J14" i="1"/>
  <c r="G6" i="1"/>
  <c r="G8" i="1" s="1"/>
  <c r="G17" i="1"/>
  <c r="H21" i="1" l="1"/>
  <c r="G14" i="1"/>
  <c r="G18" i="1"/>
  <c r="H8" i="1"/>
  <c r="H24" i="1"/>
  <c r="H18" i="1"/>
  <c r="H25" i="1" l="1"/>
</calcChain>
</file>

<file path=xl/sharedStrings.xml><?xml version="1.0" encoding="utf-8"?>
<sst xmlns="http://schemas.openxmlformats.org/spreadsheetml/2006/main" count="74" uniqueCount="59">
  <si>
    <t>CIFRAS EN MILLONES DE PESOS</t>
  </si>
  <si>
    <t>OBJETIVO ESTRATEGICO</t>
  </si>
  <si>
    <t>CP</t>
  </si>
  <si>
    <t>PROGRAMA</t>
  </si>
  <si>
    <t># PROYECTOS</t>
  </si>
  <si>
    <t>% AVANCE PROYECTOS (METAS)</t>
  </si>
  <si>
    <t xml:space="preserve">APROPIACION TOTAL 2015
</t>
  </si>
  <si>
    <t xml:space="preserve">% APROP. POR PROGRAMA
</t>
  </si>
  <si>
    <t xml:space="preserve">% APROP. TOTAL
</t>
  </si>
  <si>
    <t xml:space="preserve">EJECUCION TOTAL 2015
</t>
  </si>
  <si>
    <t xml:space="preserve">% EJECUCION
</t>
  </si>
  <si>
    <t>Proyectar la Universidad Nacional de Colombia para convertirla en la primera universidad colombiana de clase mundial</t>
  </si>
  <si>
    <t>Proyección nacional e internacional de la Universidad</t>
  </si>
  <si>
    <t>Desarrollo normativo</t>
  </si>
  <si>
    <t>Subtotal</t>
  </si>
  <si>
    <t>Consolidar el liderazgo de la Universidad en el Sistema de Educación Superior Colombiano</t>
  </si>
  <si>
    <t>Liderazgo y calidad académica</t>
  </si>
  <si>
    <t>Disminución de la deserción, la alta permanencia y aumento de la tasa de graduación</t>
  </si>
  <si>
    <t>Recuperación y fortalecimiento de las escuelas de salud</t>
  </si>
  <si>
    <t>Apoyo al mejoramiento de la calidad de la educación básica y media</t>
  </si>
  <si>
    <t>Consolidación de capacidades y visibilización del capital humano, intelectual, relacional y estructural de la investigación y la extensión</t>
  </si>
  <si>
    <t>Dotar a la Universidad de una infraestructura física, tecnológica y de soporte para el cumplimiento de la misión institucional</t>
  </si>
  <si>
    <t>Fortalecimiento de la infraestructura física y de la gestión ambiental de los campus</t>
  </si>
  <si>
    <t>Fortalecimiento de los laboratorios de la Universidad</t>
  </si>
  <si>
    <t>Tecnologías de información y comunicaciones</t>
  </si>
  <si>
    <t>Consolidar el Sistema de Bienestar Universitario, que facilite el desarrollo de actividades académicas en ambientes adecuados..</t>
  </si>
  <si>
    <t>Consolidación del Sistema de Bienestar Universitario</t>
  </si>
  <si>
    <t>Egresados, redes académicas y capital social</t>
  </si>
  <si>
    <t>Mejorar la gestión administrativa y la cultura organizacional de la Universidad y establecer mecanismos de sostenibilidad financiera para lograr una mayor efectividad en el cumplimiento de la misión institucional.</t>
  </si>
  <si>
    <t>Gestión de calidad y desarrollo organizacional</t>
  </si>
  <si>
    <t>Gestión de nuevas fuentes de recursos y optimización del gasto</t>
  </si>
  <si>
    <t>TOTAL</t>
  </si>
  <si>
    <t>EJECUCIÓN CONSOLIDADA PGD 2013-2015 POR OBJETIVO ESTRATÉGICO, VIGENCIA 2015</t>
  </si>
  <si>
    <t>APROPIACION TOTAL 2014</t>
  </si>
  <si>
    <t>% APROP. TOTAL</t>
  </si>
  <si>
    <t>EJECUCION TOTAL 2014</t>
  </si>
  <si>
    <t>% EJECUCION</t>
  </si>
  <si>
    <t>% AVANCE PROYECTOS</t>
  </si>
  <si>
    <t>SEDE</t>
  </si>
  <si>
    <t>APROP. NACION</t>
  </si>
  <si>
    <t>APROP. PROPIOS</t>
  </si>
  <si>
    <t>APROP. TOTAL</t>
  </si>
  <si>
    <t>EJEC. NACION</t>
  </si>
  <si>
    <t>EJEC. PROPIOS</t>
  </si>
  <si>
    <t>EJEC. TOTAL</t>
  </si>
  <si>
    <t>PROM. AVANCE PROYECTOS</t>
  </si>
  <si>
    <t># DE PROYECTOS</t>
  </si>
  <si>
    <t>AMAZONIA</t>
  </si>
  <si>
    <t>BOGOTA</t>
  </si>
  <si>
    <t>CARIBE</t>
  </si>
  <si>
    <t>MANIZALES</t>
  </si>
  <si>
    <t>MEDELLIN</t>
  </si>
  <si>
    <t>NIVEL NACIONAL</t>
  </si>
  <si>
    <t>NIVEL NACIONAL - UNIMEDIOS</t>
  </si>
  <si>
    <t>ORINOQUIA</t>
  </si>
  <si>
    <t>PALMIRA</t>
  </si>
  <si>
    <t>TUMACO</t>
  </si>
  <si>
    <t>EJECUCIÓN PLAN DE ACCIÓN INSTITUCIONAL 2013-2015 POR SEDE VIGENCIA 2015</t>
  </si>
  <si>
    <t>EJECUCIÓN CONSOLIDADA PGD 2013-2015 POR OBJETIVO ESTRATÉGICO Y PROGRAMA,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</si>
</sst>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,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/>
    <xf numFmtId="165" fontId="0" fillId="0" borderId="1" xfId="0" applyNumberFormat="1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164" fontId="2" fillId="0" borderId="1" xfId="1" applyNumberFormat="1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10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/>
    <xf numFmtId="10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/>
    </xf>
    <xf numFmtId="10" fontId="2" fillId="3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right" vertical="center"/>
    </xf>
    <xf numFmtId="164" fontId="5" fillId="3" borderId="1" xfId="1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98242340560516E-2"/>
          <c:y val="6.9327823710666064E-2"/>
          <c:w val="0.93089483558614305"/>
          <c:h val="0.80860790624112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[1]ObjEst2015!$D$4</c:f>
              <c:strCache>
                <c:ptCount val="1"/>
                <c:pt idx="0">
                  <c:v>% APROP. 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8124983980277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35683509595403E-3"/>
                  <c:y val="5.2083322653518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[1]ObjEst2015!$A$5:$A$9</c:f>
              <c:strCache>
                <c:ptCount val="5"/>
                <c:pt idx="0">
                  <c:v>Proyectar la Universidad Nacional de Colombia para convertirla en la primera universidad colombiana de clase mundial</c:v>
                </c:pt>
                <c:pt idx="1">
                  <c:v>Consolidar el liderazgo de la Universidad en el Sistema de Educación Superior Colombiano</c:v>
                </c:pt>
                <c:pt idx="2">
                  <c:v>Dotar a la Universidad de una infraestructura física, tecnológica y de soporte para el cumplimiento de la misión institucional</c:v>
                </c:pt>
                <c:pt idx="3">
                  <c:v>Consolidar el Sistema de Bienestar Universitario, que facilite el desarrollo de actividades académicas en ambientes adecuados..</c:v>
                </c:pt>
                <c:pt idx="4">
                  <c:v>Mejorar la gestión administrativa y la cultura organizacional de la Universidad y establecer mecanismos de sostenibilidad financiera para lograr una mayor efectividad en el cumplimiento de la misión institucional.</c:v>
                </c:pt>
              </c:strCache>
            </c:strRef>
          </c:cat>
          <c:val>
            <c:numRef>
              <c:f>[1]ObjEst2015!$D$5:$D$9</c:f>
              <c:numCache>
                <c:formatCode>General</c:formatCode>
                <c:ptCount val="5"/>
                <c:pt idx="0">
                  <c:v>2.4530948601600055E-2</c:v>
                </c:pt>
                <c:pt idx="1">
                  <c:v>0.45579087055772782</c:v>
                </c:pt>
                <c:pt idx="2">
                  <c:v>0.47608045732718907</c:v>
                </c:pt>
                <c:pt idx="3">
                  <c:v>3.1631082638133877E-2</c:v>
                </c:pt>
                <c:pt idx="4">
                  <c:v>1.1966640875349176E-2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16216"/>
        <c:axId val="219153896"/>
      </c:barChart>
      <c:lineChart>
        <c:grouping val="standard"/>
        <c:varyColors val="0"/>
        <c:ser>
          <c:idx val="1"/>
          <c:order val="1"/>
          <c:tx>
            <c:strRef>
              <c:f>[1]ObjEst2015!$F$4</c:f>
              <c:strCache>
                <c:ptCount val="1"/>
                <c:pt idx="0">
                  <c:v>% EJECUCION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0968921389396721E-2"/>
                  <c:y val="2.369413031771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625228519195657E-2"/>
                  <c:y val="-1.7232094776521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646890642782518E-2"/>
                  <c:y val="-3.0896688218362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075689863091437E-2"/>
                  <c:y val="-1.832594768578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[1]ObjEst2015!$A$5:$A$9</c:f>
              <c:strCache>
                <c:ptCount val="5"/>
                <c:pt idx="0">
                  <c:v>Proyectar la Universidad Nacional de Colombia para convertirla en la primera universidad colombiana de clase mundial</c:v>
                </c:pt>
                <c:pt idx="1">
                  <c:v>Consolidar el liderazgo de la Universidad en el Sistema de Educación Superior Colombiano</c:v>
                </c:pt>
                <c:pt idx="2">
                  <c:v>Dotar a la Universidad de una infraestructura física, tecnológica y de soporte para el cumplimiento de la misión institucional</c:v>
                </c:pt>
                <c:pt idx="3">
                  <c:v>Consolidar el Sistema de Bienestar Universitario, que facilite el desarrollo de actividades académicas en ambientes adecuados..</c:v>
                </c:pt>
                <c:pt idx="4">
                  <c:v>Mejorar la gestión administrativa y la cultura organizacional de la Universidad y establecer mecanismos de sostenibilidad financiera para lograr una mayor efectividad en el cumplimiento de la misión institucional.</c:v>
                </c:pt>
              </c:strCache>
            </c:strRef>
          </c:cat>
          <c:val>
            <c:numRef>
              <c:f>[1]ObjEst2015!$F$5:$F$9</c:f>
              <c:numCache>
                <c:formatCode>General</c:formatCode>
                <c:ptCount val="5"/>
                <c:pt idx="0">
                  <c:v>0.96178463163020622</c:v>
                </c:pt>
                <c:pt idx="1">
                  <c:v>0.72252861985437367</c:v>
                </c:pt>
                <c:pt idx="2">
                  <c:v>0.91982744321017795</c:v>
                </c:pt>
                <c:pt idx="3">
                  <c:v>0.93035572702918035</c:v>
                </c:pt>
                <c:pt idx="4">
                  <c:v>0.97760773166145243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[1]ObjEst2015!$G$4</c:f>
              <c:strCache>
                <c:ptCount val="1"/>
                <c:pt idx="0">
                  <c:v>% AVANCE PROYECTOS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1937842778793869E-2"/>
                  <c:y val="-1.723209477652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294450561482399E-2"/>
                  <c:y val="-2.7488921528682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689492984939751E-2"/>
                  <c:y val="-2.3180769524940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801410105757931E-2"/>
                  <c:y val="-2.0833329061407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[1]ObjEst2015!$A$5:$A$9</c:f>
              <c:strCache>
                <c:ptCount val="5"/>
                <c:pt idx="0">
                  <c:v>Proyectar la Universidad Nacional de Colombia para convertirla en la primera universidad colombiana de clase mundial</c:v>
                </c:pt>
                <c:pt idx="1">
                  <c:v>Consolidar el liderazgo de la Universidad en el Sistema de Educación Superior Colombiano</c:v>
                </c:pt>
                <c:pt idx="2">
                  <c:v>Dotar a la Universidad de una infraestructura física, tecnológica y de soporte para el cumplimiento de la misión institucional</c:v>
                </c:pt>
                <c:pt idx="3">
                  <c:v>Consolidar el Sistema de Bienestar Universitario, que facilite el desarrollo de actividades académicas en ambientes adecuados..</c:v>
                </c:pt>
                <c:pt idx="4">
                  <c:v>Mejorar la gestión administrativa y la cultura organizacional de la Universidad y establecer mecanismos de sostenibilidad financiera para lograr una mayor efectividad en el cumplimiento de la misión institucional.</c:v>
                </c:pt>
              </c:strCache>
            </c:strRef>
          </c:cat>
          <c:val>
            <c:numRef>
              <c:f>[1]ObjEst2015!$G$5:$G$9</c:f>
              <c:numCache>
                <c:formatCode>General</c:formatCode>
                <c:ptCount val="5"/>
                <c:pt idx="0">
                  <c:v>0.28599062499999994</c:v>
                </c:pt>
                <c:pt idx="1">
                  <c:v>0.26995632183908047</c:v>
                </c:pt>
                <c:pt idx="2">
                  <c:v>0.27795711301044634</c:v>
                </c:pt>
                <c:pt idx="3">
                  <c:v>0.313475</c:v>
                </c:pt>
                <c:pt idx="4">
                  <c:v>0.24458750000000001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16216"/>
        <c:axId val="219153896"/>
      </c:lineChart>
      <c:catAx>
        <c:axId val="21911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OBJETIVO ESTRATÉGICO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es-CO"/>
          </a:p>
        </c:txPr>
        <c:crossAx val="219153896"/>
        <c:crosses val="autoZero"/>
        <c:auto val="1"/>
        <c:lblAlgn val="ctr"/>
        <c:lblOffset val="100"/>
        <c:noMultiLvlLbl val="0"/>
      </c:catAx>
      <c:valAx>
        <c:axId val="219153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1162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19049</xdr:rowOff>
    </xdr:from>
    <xdr:to>
      <xdr:col>6</xdr:col>
      <xdr:colOff>809625</xdr:colOff>
      <xdr:row>39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0.75352</cdr:y>
    </cdr:from>
    <cdr:to>
      <cdr:x>0.18331</cdr:x>
      <cdr:y>0.79492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22313" y="3674761"/>
          <a:ext cx="463588" cy="201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3,482</a:t>
          </a:r>
        </a:p>
      </cdr:txBody>
    </cdr:sp>
  </cdr:relSizeAnchor>
  <cdr:relSizeAnchor xmlns:cdr="http://schemas.openxmlformats.org/drawingml/2006/chartDrawing">
    <cdr:from>
      <cdr:x>0.30073</cdr:x>
      <cdr:y>0.80452</cdr:y>
    </cdr:from>
    <cdr:to>
      <cdr:x>0.37112</cdr:x>
      <cdr:y>0.84006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133725" y="4743451"/>
          <a:ext cx="7334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0.30256</cdr:x>
      <cdr:y>0.81583</cdr:y>
    </cdr:from>
    <cdr:to>
      <cdr:x>0.37112</cdr:x>
      <cdr:y>0.86107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3152775" y="4810126"/>
          <a:ext cx="714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0.31342</cdr:x>
      <cdr:y>0.72828</cdr:y>
    </cdr:from>
    <cdr:to>
      <cdr:x>0.37955</cdr:x>
      <cdr:y>0.77148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2540522" y="3551681"/>
          <a:ext cx="536053" cy="21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64,763</a:t>
          </a:r>
        </a:p>
      </cdr:txBody>
    </cdr:sp>
  </cdr:relSizeAnchor>
  <cdr:relSizeAnchor xmlns:cdr="http://schemas.openxmlformats.org/drawingml/2006/chartDrawing">
    <cdr:from>
      <cdr:x>0.50193</cdr:x>
      <cdr:y>0.73178</cdr:y>
    </cdr:from>
    <cdr:to>
      <cdr:x>0.56992</cdr:x>
      <cdr:y>0.77539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4068506" y="3568727"/>
          <a:ext cx="551119" cy="212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67,346</a:t>
          </a:r>
        </a:p>
      </cdr:txBody>
    </cdr:sp>
  </cdr:relSizeAnchor>
  <cdr:relSizeAnchor xmlns:cdr="http://schemas.openxmlformats.org/drawingml/2006/chartDrawing">
    <cdr:from>
      <cdr:x>0.68843</cdr:x>
      <cdr:y>0.74773</cdr:y>
    </cdr:from>
    <cdr:to>
      <cdr:x>0.74618</cdr:x>
      <cdr:y>0.79297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5580272" y="3646545"/>
          <a:ext cx="468103" cy="22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4,490</a:t>
          </a:r>
        </a:p>
      </cdr:txBody>
    </cdr:sp>
  </cdr:relSizeAnchor>
  <cdr:relSizeAnchor xmlns:cdr="http://schemas.openxmlformats.org/drawingml/2006/chartDrawing">
    <cdr:from>
      <cdr:x>0.87766</cdr:x>
      <cdr:y>0.75977</cdr:y>
    </cdr:from>
    <cdr:to>
      <cdr:x>0.93537</cdr:x>
      <cdr:y>0.79492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7114127" y="3705246"/>
          <a:ext cx="467774" cy="171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1,919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Felipe/BANCO%20PROYECTOS/2015/Matriz%20ejecuci&#243;n%20plan%202013-2015_diciembre%20d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General_sin facultades"/>
      <sheetName val="Consolidado_facultades"/>
      <sheetName val="Tabla Dinámica 2013"/>
      <sheetName val="ObjEstyProg2013"/>
      <sheetName val="ObjEst2013"/>
      <sheetName val="Sede 2013"/>
      <sheetName val="Tabla Dinámica 2014"/>
      <sheetName val="ObjEstyProg2014"/>
      <sheetName val="ObjEst2014"/>
      <sheetName val="Sede 2014"/>
      <sheetName val="Tabla Dinámica 2015"/>
      <sheetName val="ObjEstyProg2015"/>
      <sheetName val="ObjEst2015"/>
      <sheetName val="Sede 2015"/>
      <sheetName val="ObjEstyProgAcum"/>
      <sheetName val="ObjEstAcum"/>
      <sheetName val="Sede acumulado"/>
      <sheetName val="infraestructura física"/>
      <sheetName val="Infraestructura físic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17</v>
          </cell>
          <cell r="E5">
            <v>0.28599062499999994</v>
          </cell>
          <cell r="F5">
            <v>3481995665</v>
          </cell>
          <cell r="I5">
            <v>3348929918</v>
          </cell>
        </row>
        <row r="11">
          <cell r="D11">
            <v>48</v>
          </cell>
          <cell r="E11">
            <v>0.26995632183908047</v>
          </cell>
          <cell r="F11">
            <v>64696309189</v>
          </cell>
          <cell r="I11">
            <v>46744934988</v>
          </cell>
        </row>
        <row r="15">
          <cell r="D15">
            <v>63</v>
          </cell>
          <cell r="E15">
            <v>0.27795711301044634</v>
          </cell>
          <cell r="F15">
            <v>67576273365</v>
          </cell>
          <cell r="I15">
            <v>62158510751</v>
          </cell>
        </row>
        <row r="18">
          <cell r="D18">
            <v>11</v>
          </cell>
          <cell r="F18">
            <v>4489809767</v>
          </cell>
          <cell r="I18">
            <v>4177120230</v>
          </cell>
        </row>
        <row r="19">
          <cell r="E19">
            <v>0.313475</v>
          </cell>
        </row>
        <row r="21">
          <cell r="D21">
            <v>9</v>
          </cell>
          <cell r="E21">
            <v>0.24458750000000001</v>
          </cell>
          <cell r="F21">
            <v>1698580529</v>
          </cell>
          <cell r="I21">
            <v>1660545458</v>
          </cell>
        </row>
        <row r="22">
          <cell r="E22">
            <v>0.26363831196990534</v>
          </cell>
        </row>
      </sheetData>
      <sheetData sheetId="12">
        <row r="4">
          <cell r="C4" t="str">
            <v>APROPIACION TOTAL 2014</v>
          </cell>
          <cell r="D4" t="str">
            <v>% APROP. TOTAL</v>
          </cell>
          <cell r="F4" t="str">
            <v>% EJECUCION</v>
          </cell>
          <cell r="G4" t="str">
            <v>% AVANCE PROYECTOS</v>
          </cell>
        </row>
        <row r="5">
          <cell r="A5" t="str">
            <v>Proyectar la Universidad Nacional de Colombia para convertirla en la primera universidad colombiana de clase mundial</v>
          </cell>
          <cell r="D5">
            <v>2.4530948601600055E-2</v>
          </cell>
          <cell r="F5">
            <v>0.96178463163020622</v>
          </cell>
          <cell r="G5">
            <v>0.28599062499999994</v>
          </cell>
        </row>
        <row r="6">
          <cell r="A6" t="str">
            <v>Consolidar el liderazgo de la Universidad en el Sistema de Educación Superior Colombiano</v>
          </cell>
          <cell r="D6">
            <v>0.45579087055772782</v>
          </cell>
          <cell r="F6">
            <v>0.72252861985437367</v>
          </cell>
          <cell r="G6">
            <v>0.26995632183908047</v>
          </cell>
        </row>
        <row r="7">
          <cell r="A7" t="str">
            <v>Dotar a la Universidad de una infraestructura física, tecnológica y de soporte para el cumplimiento de la misión institucional</v>
          </cell>
          <cell r="D7">
            <v>0.47608045732718907</v>
          </cell>
          <cell r="F7">
            <v>0.91982744321017795</v>
          </cell>
          <cell r="G7">
            <v>0.27795711301044634</v>
          </cell>
        </row>
        <row r="8">
          <cell r="A8" t="str">
            <v>Consolidar el Sistema de Bienestar Universitario, que facilite el desarrollo de actividades académicas en ambientes adecuados..</v>
          </cell>
          <cell r="D8">
            <v>3.1631082638133877E-2</v>
          </cell>
          <cell r="F8">
            <v>0.93035572702918035</v>
          </cell>
          <cell r="G8">
            <v>0.313475</v>
          </cell>
        </row>
        <row r="9">
          <cell r="A9" t="str">
            <v>Mejorar la gestión administrativa y la cultura organizacional de la Universidad y establecer mecanismos de sostenibilidad financiera para lograr una mayor efectividad en el cumplimiento de la misión institucional.</v>
          </cell>
          <cell r="D9">
            <v>1.1966640875349176E-2</v>
          </cell>
          <cell r="F9">
            <v>0.97760773166145243</v>
          </cell>
          <cell r="G9">
            <v>0.24458750000000001</v>
          </cell>
        </row>
      </sheetData>
      <sheetData sheetId="13">
        <row r="2">
          <cell r="D2" t="str">
            <v>APROP. TOTAL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workbookViewId="0">
      <selection activeCell="G18" sqref="G18"/>
    </sheetView>
  </sheetViews>
  <sheetFormatPr baseColWidth="10" defaultRowHeight="15" x14ac:dyDescent="0.25"/>
  <cols>
    <col min="1" max="1" width="27.85546875" customWidth="1"/>
    <col min="2" max="2" width="0" hidden="1" customWidth="1"/>
    <col min="3" max="3" width="35.28515625" customWidth="1"/>
    <col min="5" max="5" width="12" hidden="1" customWidth="1"/>
    <col min="6" max="6" width="14.7109375" bestFit="1" customWidth="1"/>
    <col min="9" max="9" width="15.140625" customWidth="1"/>
  </cols>
  <sheetData>
    <row r="2" spans="1:11" ht="18.75" x14ac:dyDescent="0.3">
      <c r="A2" s="55" t="s">
        <v>58</v>
      </c>
      <c r="B2" s="55"/>
      <c r="C2" s="55"/>
      <c r="D2" s="55"/>
      <c r="E2" s="55"/>
      <c r="F2" s="55"/>
      <c r="G2" s="55"/>
      <c r="H2" s="55"/>
      <c r="I2" s="55"/>
      <c r="J2" s="55"/>
    </row>
    <row r="4" spans="1:11" x14ac:dyDescent="0.25">
      <c r="I4" s="1" t="s">
        <v>0</v>
      </c>
    </row>
    <row r="5" spans="1:11" ht="75" x14ac:dyDescent="0.25">
      <c r="A5" s="42" t="s">
        <v>1</v>
      </c>
      <c r="B5" s="42" t="s">
        <v>2</v>
      </c>
      <c r="C5" s="42" t="s">
        <v>3</v>
      </c>
      <c r="D5" s="42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42" t="s">
        <v>9</v>
      </c>
      <c r="J5" s="42" t="s">
        <v>10</v>
      </c>
    </row>
    <row r="6" spans="1:11" ht="30" x14ac:dyDescent="0.25">
      <c r="A6" s="53" t="s">
        <v>11</v>
      </c>
      <c r="B6" s="3">
        <v>1.1000000000000001</v>
      </c>
      <c r="C6" s="4" t="s">
        <v>12</v>
      </c>
      <c r="D6" s="5">
        <f>+GETPIVOTDATA("Cuenta de CP",'[1]Tabla Dinámica 2015'!$A$3,"CL",1,"PROGRAMA","Proyección nacional e internacional de la Universidad")</f>
        <v>16</v>
      </c>
      <c r="E6" s="6">
        <f>+GETPIVOTDATA("Promedio de %  AVANCE PROYECTO 2015",'[1]Tabla Dinámica 2015'!$A$3,"CL",1,"PROGRAMA","Proyección nacional e internacional de la Universidad")</f>
        <v>0.32558124999999993</v>
      </c>
      <c r="F6" s="7">
        <f>+GETPIVOTDATA("Suma de APROP. TOTAL 2015",'[1]Tabla Dinámica 2015'!$A$3,"CL",1,"PROGRAMA","Proyección nacional e internacional de la Universidad")</f>
        <v>3304449665</v>
      </c>
      <c r="G6" s="8">
        <f>+F6/F8</f>
        <v>0.94901027540480865</v>
      </c>
      <c r="H6" s="54"/>
      <c r="I6" s="9">
        <f>+GETPIVOTDATA("Suma de EJEC. TOTAL 2015",'[1]Tabla Dinámica 2015'!$A$3,"CL",1,"PROGRAMA","Proyección nacional e internacional de la Universidad")</f>
        <v>3176393618</v>
      </c>
      <c r="J6" s="8">
        <f>+I6/F6</f>
        <v>0.96124739064530429</v>
      </c>
      <c r="K6" s="10"/>
    </row>
    <row r="7" spans="1:11" ht="18.75" x14ac:dyDescent="0.25">
      <c r="A7" s="53"/>
      <c r="B7" s="3">
        <v>1.2</v>
      </c>
      <c r="C7" s="11" t="s">
        <v>13</v>
      </c>
      <c r="D7" s="5">
        <f>+GETPIVOTDATA("Cuenta de CP",'[1]Tabla Dinámica 2015'!$A$3,"CL",1,"PROGRAMA","Desarrollo normativo")</f>
        <v>1</v>
      </c>
      <c r="E7" s="6">
        <f>+GETPIVOTDATA("Promedio de %  AVANCE PROYECTO 2015",'[1]Tabla Dinámica 2015'!$A$3,"CL",1,"PROGRAMA","Desarrollo normativo")</f>
        <v>0.24640000000000001</v>
      </c>
      <c r="F7" s="7">
        <f>+GETPIVOTDATA("Suma de APROP. TOTAL 2015",'[1]Tabla Dinámica 2015'!$A$3,"CL",1,"PROGRAMA","Desarrollo normativo")</f>
        <v>177546000</v>
      </c>
      <c r="G7" s="8">
        <f>+F7/F8</f>
        <v>5.0989724595191306E-2</v>
      </c>
      <c r="H7" s="54"/>
      <c r="I7" s="9">
        <f>+GETPIVOTDATA("Suma de EJEC. TOTAL 2015",'[1]Tabla Dinámica 2015'!$A$3,"CL",1,"PROGRAMA","Desarrollo normativo")</f>
        <v>172536300</v>
      </c>
      <c r="J7" s="8">
        <f t="shared" ref="J7:J24" si="0">+I7/F7</f>
        <v>0.97178365043425363</v>
      </c>
    </row>
    <row r="8" spans="1:11" s="13" customFormat="1" ht="30.75" customHeight="1" x14ac:dyDescent="0.25">
      <c r="A8" s="53"/>
      <c r="B8" s="12"/>
      <c r="C8" s="46" t="s">
        <v>14</v>
      </c>
      <c r="D8" s="47">
        <f>SUM(D6:D7)</f>
        <v>17</v>
      </c>
      <c r="E8" s="48">
        <f>AVERAGE(E6,E7)</f>
        <v>0.28599062499999994</v>
      </c>
      <c r="F8" s="49">
        <f>SUM(F6:F7)</f>
        <v>3481995665</v>
      </c>
      <c r="G8" s="50">
        <f>SUM(G6:G7)</f>
        <v>1</v>
      </c>
      <c r="H8" s="50">
        <f>+F8/F25</f>
        <v>2.4530948601600055E-2</v>
      </c>
      <c r="I8" s="51">
        <f>SUM(I6:I7)</f>
        <v>3348929918</v>
      </c>
      <c r="J8" s="50">
        <f t="shared" si="0"/>
        <v>0.96178463163020622</v>
      </c>
    </row>
    <row r="9" spans="1:11" ht="18.75" x14ac:dyDescent="0.25">
      <c r="A9" s="53" t="s">
        <v>15</v>
      </c>
      <c r="B9" s="3">
        <v>2.1</v>
      </c>
      <c r="C9" s="11" t="s">
        <v>16</v>
      </c>
      <c r="D9" s="14">
        <f>+GETPIVOTDATA("Cuenta de CP",'[1]Tabla Dinámica 2015'!$A$3,"CL",2,"PROGRAMA","Liderazgo y calidad académica")</f>
        <v>9</v>
      </c>
      <c r="E9" s="6">
        <f>+GETPIVOTDATA("Promedio de %  AVANCE PROYECTO 2015",'[1]Tabla Dinámica 2015'!$A$3,"CL",2,"PROGRAMA","Liderazgo y calidad académica")</f>
        <v>0.18716666666666665</v>
      </c>
      <c r="F9" s="7">
        <f>+GETPIVOTDATA("Suma de APROP. TOTAL 2015",'[1]Tabla Dinámica 2015'!$A$3,"CL",2,"PROGRAMA","Liderazgo y calidad académica")</f>
        <v>2737781244</v>
      </c>
      <c r="G9" s="8">
        <f>+F9/F14</f>
        <v>4.2317425496437619E-2</v>
      </c>
      <c r="H9" s="54"/>
      <c r="I9" s="9">
        <f>+GETPIVOTDATA("Suma de EJEC. TOTAL 2015",'[1]Tabla Dinámica 2015'!$A$3,"CL",2,"PROGRAMA","Liderazgo y calidad académica")</f>
        <v>2548851223</v>
      </c>
      <c r="J9" s="8">
        <f t="shared" si="0"/>
        <v>0.93099155697189073</v>
      </c>
    </row>
    <row r="10" spans="1:11" ht="45" x14ac:dyDescent="0.25">
      <c r="A10" s="53"/>
      <c r="B10" s="15">
        <v>2.2000000000000002</v>
      </c>
      <c r="C10" s="4" t="s">
        <v>17</v>
      </c>
      <c r="D10" s="14">
        <f>+GETPIVOTDATA("Cuenta de CP",'[1]Tabla Dinámica 2015'!$A$3,"CL",2,"PROGRAMA","Disminución de la deserción, la alta permanencia y aumento de la tasa de graduación")</f>
        <v>6</v>
      </c>
      <c r="E10" s="6">
        <f>+GETPIVOTDATA("Promedio de %  AVANCE PROYECTO 2015",'[1]Tabla Dinámica 2015'!$A$3,"CL",2,"PROGRAMA","Disminución de la deserción, la alta permanencia y aumento de la tasa de graduación")</f>
        <v>0.35191666666666666</v>
      </c>
      <c r="F10" s="7">
        <f>+GETPIVOTDATA("Suma de APROP. TOTAL 2015",'[1]Tabla Dinámica 2015'!$A$3,"CL",2,"PROGRAMA","Disminución de la deserción, la alta permanencia y aumento de la tasa de graduación")</f>
        <v>2204938994</v>
      </c>
      <c r="G10" s="8">
        <f>+F10/F14</f>
        <v>3.4081372208708549E-2</v>
      </c>
      <c r="H10" s="54"/>
      <c r="I10" s="9">
        <f>+GETPIVOTDATA("Suma de EJEC. TOTAL 2015",'[1]Tabla Dinámica 2015'!$A$3,"CL",2,"PROGRAMA","Disminución de la deserción, la alta permanencia y aumento de la tasa de graduación")</f>
        <v>2135539831</v>
      </c>
      <c r="J10" s="8">
        <f t="shared" si="0"/>
        <v>0.96852558588294435</v>
      </c>
    </row>
    <row r="11" spans="1:11" ht="30" x14ac:dyDescent="0.25">
      <c r="A11" s="53"/>
      <c r="B11" s="15">
        <v>2.2999999999999998</v>
      </c>
      <c r="C11" s="4" t="s">
        <v>18</v>
      </c>
      <c r="D11" s="14">
        <f>+GETPIVOTDATA("Cuenta de CP",'[1]Tabla Dinámica 2015'!$A$3,"CL",2,"PROGRAMA","Recuperación y fortalecimiento de las escuelas de salud")</f>
        <v>2</v>
      </c>
      <c r="E11" s="6">
        <f>+GETPIVOTDATA("Promedio de %  AVANCE PROYECTO 2015",'[1]Tabla Dinámica 2015'!$A$3,"CL",2,"PROGRAMA","Recuperación y fortalecimiento de las escuelas de salud")</f>
        <v>0.22134999999999999</v>
      </c>
      <c r="F11" s="7">
        <f>+GETPIVOTDATA("Suma de APROP. TOTAL 2015",'[1]Tabla Dinámica 2015'!$A$3,"CL",2,"PROGRAMA","Recuperación y fortalecimiento de las escuelas de salud")</f>
        <v>37761553758</v>
      </c>
      <c r="G11" s="8">
        <f>+F11/F14</f>
        <v>0.58367400291237037</v>
      </c>
      <c r="H11" s="54"/>
      <c r="I11" s="9">
        <f>+GETPIVOTDATA("Suma de EJEC. TOTAL 2015",'[1]Tabla Dinámica 2015'!$A$3,"CL",2,"PROGRAMA","Recuperación y fortalecimiento de las escuelas de salud")</f>
        <v>22943831941</v>
      </c>
      <c r="J11" s="8">
        <f t="shared" si="0"/>
        <v>0.60759766634706391</v>
      </c>
    </row>
    <row r="12" spans="1:11" ht="30" x14ac:dyDescent="0.25">
      <c r="A12" s="53"/>
      <c r="B12" s="15">
        <v>2.4</v>
      </c>
      <c r="C12" s="16" t="s">
        <v>19</v>
      </c>
      <c r="D12" s="14">
        <f>+GETPIVOTDATA("Cuenta de CP",'[1]Tabla Dinámica 2015'!$A$3,"CL",2,"PROGRAMA","Apoyo al mejoramiento de la calidad de la educación básica y media")</f>
        <v>2</v>
      </c>
      <c r="E12" s="6">
        <f>+GETPIVOTDATA("Promedio de %  AVANCE PROYECTO 2015",'[1]Tabla Dinámica 2015'!$A$3,"CL",2,"PROGRAMA","Apoyo al mejoramiento de la calidad de la educación básica y media")</f>
        <v>0.2928</v>
      </c>
      <c r="F12" s="7">
        <f>+GETPIVOTDATA("Suma de APROP. TOTAL 2015",'[1]Tabla Dinámica 2015'!$A$3,"CL",2,"PROGRAMA","Apoyo al mejoramiento de la calidad de la educación básica y media")</f>
        <v>181489991</v>
      </c>
      <c r="G12" s="8">
        <f>+F12/F14</f>
        <v>2.8052603506299842E-3</v>
      </c>
      <c r="H12" s="54"/>
      <c r="I12" s="9">
        <f>+GETPIVOTDATA("Suma de EJEC. TOTAL 2015",'[1]Tabla Dinámica 2015'!$A$3,"CL",2,"PROGRAMA","Apoyo al mejoramiento de la calidad de la educación básica y media")</f>
        <v>173793067</v>
      </c>
      <c r="J12" s="8">
        <f t="shared" si="0"/>
        <v>0.9575903665122778</v>
      </c>
    </row>
    <row r="13" spans="1:11" ht="60" x14ac:dyDescent="0.25">
      <c r="A13" s="53"/>
      <c r="B13" s="15">
        <v>2.5</v>
      </c>
      <c r="C13" s="4" t="s">
        <v>20</v>
      </c>
      <c r="D13" s="14">
        <f>+GETPIVOTDATA("Cuenta de CP",'[1]Tabla Dinámica 2015'!$A$3,"CL",2,"PROGRAMA","Consolidación de capacidades y visibilización del capital humano, intelectual, relacional y estructural de la investigación y la extensión")</f>
        <v>29</v>
      </c>
      <c r="E13" s="6">
        <f>+GETPIVOTDATA("Promedio de %  AVANCE PROYECTO 2015",'[1]Tabla Dinámica 2015'!$A$3,"CL",2,"PROGRAMA","Consolidación de capacidades y visibilización del capital humano, intelectual, relacional y estructural de la investigación y la extensión")</f>
        <v>0.296548275862069</v>
      </c>
      <c r="F13" s="7">
        <f>+GETPIVOTDATA("Suma de APROP. TOTAL 2015",'[1]Tabla Dinámica 2015'!$A$3,"CL",2,"PROGRAMA","Consolidación de capacidades y visibilización del capital humano, intelectual, relacional y estructural de la investigación y la extensión")</f>
        <v>21810545202</v>
      </c>
      <c r="G13" s="8">
        <f>+F13/F14</f>
        <v>0.3371219390318535</v>
      </c>
      <c r="H13" s="54"/>
      <c r="I13" s="9">
        <f>+GETPIVOTDATA("Suma de EJEC. TOTAL 2015",'[1]Tabla Dinámica 2015'!$A$3,"CL",2,"PROGRAMA","Consolidación de capacidades y visibilización del capital humano, intelectual, relacional y estructural de la investigación y la extensión")</f>
        <v>18942918926</v>
      </c>
      <c r="J13" s="8">
        <f t="shared" si="0"/>
        <v>0.8685211098832577</v>
      </c>
    </row>
    <row r="14" spans="1:11" s="13" customFormat="1" ht="18.75" x14ac:dyDescent="0.25">
      <c r="A14" s="53"/>
      <c r="B14" s="17"/>
      <c r="C14" s="46" t="s">
        <v>14</v>
      </c>
      <c r="D14" s="47">
        <f>SUM(D9:D13)</f>
        <v>48</v>
      </c>
      <c r="E14" s="48">
        <f>AVERAGE(E9:E13)</f>
        <v>0.26995632183908047</v>
      </c>
      <c r="F14" s="49">
        <f>SUM(F9:F13)</f>
        <v>64696309189</v>
      </c>
      <c r="G14" s="50">
        <f>SUM(G9:G13)</f>
        <v>1</v>
      </c>
      <c r="H14" s="50">
        <f>+F14/F25</f>
        <v>0.45579087055772782</v>
      </c>
      <c r="I14" s="51">
        <f>SUM(I9:I13)</f>
        <v>46744934988</v>
      </c>
      <c r="J14" s="50">
        <f t="shared" si="0"/>
        <v>0.72252861985437367</v>
      </c>
    </row>
    <row r="15" spans="1:11" ht="45" x14ac:dyDescent="0.25">
      <c r="A15" s="53" t="s">
        <v>21</v>
      </c>
      <c r="B15" s="15">
        <v>3.1</v>
      </c>
      <c r="C15" s="4" t="s">
        <v>22</v>
      </c>
      <c r="D15" s="14">
        <f>+GETPIVOTDATA("Cuenta de CP",'[1]Tabla Dinámica 2015'!$A$3,"CL",3,"PROGRAMA","Fortalecimiento de la infraestructura física y de la gestión ambiental de los campus")</f>
        <v>27</v>
      </c>
      <c r="E15" s="6">
        <f>+GETPIVOTDATA("Promedio de %  AVANCE PROYECTO 2015",'[1]Tabla Dinámica 2015'!$A$3,"CL",3,"PROGRAMA","Fortalecimiento de la infraestructura física y de la gestión ambiental de los campus")</f>
        <v>0.26818518518518519</v>
      </c>
      <c r="F15" s="7">
        <f>+GETPIVOTDATA("Suma de APROP. TOTAL 2015",'[1]Tabla Dinámica 2015'!$A$3,"CL",3,"PROGRAMA","Fortalecimiento de la infraestructura física y de la gestión ambiental de los campus")</f>
        <v>37781433630</v>
      </c>
      <c r="G15" s="8">
        <f>+F15/F18</f>
        <v>0.55909318091471227</v>
      </c>
      <c r="H15" s="54"/>
      <c r="I15" s="9">
        <f>+GETPIVOTDATA("Suma de EJEC. TOTAL 2015",'[1]Tabla Dinámica 2015'!$A$3,"CL",3,"PROGRAMA","Fortalecimiento de la infraestructura física y de la gestión ambiental de los campus")</f>
        <v>36339491039</v>
      </c>
      <c r="J15" s="8">
        <f t="shared" si="0"/>
        <v>0.96183462477572479</v>
      </c>
    </row>
    <row r="16" spans="1:11" ht="30" x14ac:dyDescent="0.25">
      <c r="A16" s="53"/>
      <c r="B16" s="15">
        <v>3.2</v>
      </c>
      <c r="C16" s="4" t="s">
        <v>23</v>
      </c>
      <c r="D16" s="14">
        <f>+GETPIVOTDATA("Cuenta de CP",'[1]Tabla Dinámica 2015'!$A$3,"CL",3,"PROGRAMA","Fortalecimiento de los laboratorios de la Universidad")</f>
        <v>10</v>
      </c>
      <c r="E16" s="6">
        <f>+GETPIVOTDATA("Promedio de %  AVANCE PROYECTO 2015",'[1]Tabla Dinámica 2015'!$A$3,"CL",3,"PROGRAMA","Fortalecimiento de los laboratorios de la Universidad")</f>
        <v>0.28854000000000002</v>
      </c>
      <c r="F16" s="7">
        <f>+GETPIVOTDATA("Suma de APROP. TOTAL 2015",'[1]Tabla Dinámica 2015'!$A$3,"CL",3,"PROGRAMA","Fortalecimiento de los laboratorios de la Universidad")</f>
        <v>10774320234</v>
      </c>
      <c r="G16" s="8">
        <f>+F16/F18</f>
        <v>0.15943939636630478</v>
      </c>
      <c r="H16" s="54"/>
      <c r="I16" s="9">
        <f>+GETPIVOTDATA("Suma de EJEC. TOTAL 2015",'[1]Tabla Dinámica 2015'!$A$3,"CL",3,"PROGRAMA","Fortalecimiento de los laboratorios de la Universidad")</f>
        <v>8121328936</v>
      </c>
      <c r="J16" s="8">
        <f t="shared" si="0"/>
        <v>0.75376717599054799</v>
      </c>
    </row>
    <row r="17" spans="1:10" ht="30" x14ac:dyDescent="0.25">
      <c r="A17" s="53"/>
      <c r="B17" s="15">
        <v>3.3</v>
      </c>
      <c r="C17" s="4" t="s">
        <v>24</v>
      </c>
      <c r="D17" s="14">
        <f>+GETPIVOTDATA("Cuenta de CP",'[1]Tabla Dinámica 2015'!$A$3,"CL",3,"PROGRAMA","Tecnologías de información y comunicaciones")</f>
        <v>26</v>
      </c>
      <c r="E17" s="6">
        <f>+GETPIVOTDATA("Promedio de %  AVANCE PROYECTO 2015",'[1]Tabla Dinámica 2015'!$A$3,"CL",3,"PROGRAMA","Tecnologías de información y comunicaciones")</f>
        <v>0.27714615384615388</v>
      </c>
      <c r="F17" s="7">
        <f>+GETPIVOTDATA("Suma de APROP. TOTAL 2015",'[1]Tabla Dinámica 2015'!$A$3,"CL",3,"PROGRAMA","Tecnologías de información y comunicaciones")</f>
        <v>19020519501</v>
      </c>
      <c r="G17" s="8">
        <f>+F17/F18</f>
        <v>0.2814674227189829</v>
      </c>
      <c r="H17" s="54"/>
      <c r="I17" s="9">
        <f>+GETPIVOTDATA("Suma de EJEC. TOTAL 2015",'[1]Tabla Dinámica 2015'!$A$3,"CL",3,"PROGRAMA","Tecnologías de información y comunicaciones")</f>
        <v>17697690776</v>
      </c>
      <c r="J17" s="8">
        <f t="shared" si="0"/>
        <v>0.93045254495123264</v>
      </c>
    </row>
    <row r="18" spans="1:10" s="13" customFormat="1" ht="18.75" x14ac:dyDescent="0.25">
      <c r="A18" s="53"/>
      <c r="B18" s="17"/>
      <c r="C18" s="17" t="s">
        <v>14</v>
      </c>
      <c r="D18" s="18">
        <f>SUM(D15:D17)</f>
        <v>63</v>
      </c>
      <c r="E18" s="19">
        <f>AVERAGE(E15:E17)</f>
        <v>0.27795711301044634</v>
      </c>
      <c r="F18" s="20">
        <f>SUM(F15:F17)</f>
        <v>67576273365</v>
      </c>
      <c r="G18" s="21">
        <f>SUM(G15:G17)</f>
        <v>1</v>
      </c>
      <c r="H18" s="21">
        <f>+F18/F25</f>
        <v>0.47608045732718907</v>
      </c>
      <c r="I18" s="22">
        <f>SUM(I15:I17)</f>
        <v>62158510751</v>
      </c>
      <c r="J18" s="21">
        <f t="shared" si="0"/>
        <v>0.91982744321017795</v>
      </c>
    </row>
    <row r="19" spans="1:10" ht="30" x14ac:dyDescent="0.25">
      <c r="A19" s="53" t="s">
        <v>25</v>
      </c>
      <c r="B19" s="15">
        <v>4.0999999999999996</v>
      </c>
      <c r="C19" s="4" t="s">
        <v>26</v>
      </c>
      <c r="D19" s="14">
        <f>+GETPIVOTDATA("Cuenta de CP",'[1]Tabla Dinámica 2015'!$A$3,"CL",4,"PROGRAMA","Consolidación del Sistema de Bienestar Universitario")</f>
        <v>10</v>
      </c>
      <c r="E19" s="6">
        <f>+GETPIVOTDATA("Promedio de %  AVANCE PROYECTO 2015",'[1]Tabla Dinámica 2015'!$A$3,"CL",4,"PROGRAMA","Consolidación del Sistema de Bienestar Universitario")</f>
        <v>0.31159999999999999</v>
      </c>
      <c r="F19" s="7">
        <f>+GETPIVOTDATA("Suma de APROP. TOTAL 2015",'[1]Tabla Dinámica 2015'!$A$3,"CL",4,"PROGRAMA","Consolidación del Sistema de Bienestar Universitario")</f>
        <v>4399809767</v>
      </c>
      <c r="G19" s="8">
        <f>+F19/F21</f>
        <v>0.97995460728392147</v>
      </c>
      <c r="H19" s="54"/>
      <c r="I19" s="9">
        <f>+GETPIVOTDATA("Suma de EJEC. TOTAL 2015",'[1]Tabla Dinámica 2015'!$A$3,"CL",4,"PROGRAMA","Consolidación del Sistema de Bienestar Universitario")</f>
        <v>4087302879</v>
      </c>
      <c r="J19" s="8">
        <f t="shared" si="0"/>
        <v>0.92897263642080552</v>
      </c>
    </row>
    <row r="20" spans="1:10" ht="30" x14ac:dyDescent="0.25">
      <c r="A20" s="53"/>
      <c r="B20" s="15">
        <v>4.2</v>
      </c>
      <c r="C20" s="4" t="s">
        <v>27</v>
      </c>
      <c r="D20" s="14">
        <f>+GETPIVOTDATA("Cuenta de CP",'[1]Tabla Dinámica 2015'!$A$3,"CL",4,"PROGRAMA","Egresados, redes académicas y capital social")</f>
        <v>1</v>
      </c>
      <c r="E20" s="6">
        <f>+GETPIVOTDATA("Promedio de %  AVANCE PROYECTO 2015",'[1]Tabla Dinámica 2015'!$A$3,"CL",4,"PROGRAMA","Egresados, redes académicas y capital social")</f>
        <v>0.1678</v>
      </c>
      <c r="F20" s="7">
        <f>+GETPIVOTDATA("Suma de APROP. TOTAL 2015",'[1]Tabla Dinámica 2015'!$A$3,"CL",4,"PROGRAMA","Egresados, redes académicas y capital social")</f>
        <v>90000000</v>
      </c>
      <c r="G20" s="8">
        <f>+F20/F21</f>
        <v>2.0045392716078522E-2</v>
      </c>
      <c r="H20" s="54"/>
      <c r="I20" s="9">
        <f>+GETPIVOTDATA("Suma de EJEC. TOTAL 2015",'[1]Tabla Dinámica 2015'!$A$3,"CL",4,"PROGRAMA","Egresados, redes académicas y capital social")</f>
        <v>89817351</v>
      </c>
      <c r="J20" s="8">
        <f t="shared" si="0"/>
        <v>0.99797056666666661</v>
      </c>
    </row>
    <row r="21" spans="1:10" s="13" customFormat="1" ht="18.75" x14ac:dyDescent="0.25">
      <c r="A21" s="53"/>
      <c r="B21" s="17"/>
      <c r="C21" s="46" t="s">
        <v>14</v>
      </c>
      <c r="D21" s="47">
        <f>SUM(D19:D20)</f>
        <v>11</v>
      </c>
      <c r="E21" s="48">
        <f>AVERAGE(E19:E20)</f>
        <v>0.2397</v>
      </c>
      <c r="F21" s="49">
        <f>SUM(F19:F20)</f>
        <v>4489809767</v>
      </c>
      <c r="G21" s="50">
        <f>SUM(G19:G20)</f>
        <v>1</v>
      </c>
      <c r="H21" s="50">
        <f>+F21/F25</f>
        <v>3.1631082638133877E-2</v>
      </c>
      <c r="I21" s="51">
        <f>SUM(I19:I20)</f>
        <v>4177120230</v>
      </c>
      <c r="J21" s="50">
        <f t="shared" si="0"/>
        <v>0.93035572702918035</v>
      </c>
    </row>
    <row r="22" spans="1:10" ht="30" x14ac:dyDescent="0.25">
      <c r="A22" s="53" t="s">
        <v>28</v>
      </c>
      <c r="B22" s="15">
        <v>5.0999999999999996</v>
      </c>
      <c r="C22" s="4" t="s">
        <v>29</v>
      </c>
      <c r="D22" s="14">
        <f>+GETPIVOTDATA("Cuenta de CP",'[1]Tabla Dinámica 2015'!$A$3,"CL",5,"PROGRAMA","Gestión de calidad y desarrollo organizacional")</f>
        <v>8</v>
      </c>
      <c r="E22" s="6">
        <f>+GETPIVOTDATA("Promedio de %  AVANCE PROYECTO 2015",'[1]Tabla Dinámica 2015'!$A$3,"CL",5,"PROGRAMA","Gestión de calidad y desarrollo organizacional")</f>
        <v>0.313475</v>
      </c>
      <c r="F22" s="7">
        <f>+GETPIVOTDATA("Suma de APROP. TOTAL 2015",'[1]Tabla Dinámica 2015'!$A$3,"CL",5,"PROGRAMA","Gestión de calidad y desarrollo organizacional")</f>
        <v>1404639250</v>
      </c>
      <c r="G22" s="8">
        <f>+F22/F24</f>
        <v>0.8269488705530782</v>
      </c>
      <c r="H22" s="54"/>
      <c r="I22" s="9">
        <f>+GETPIVOTDATA("Suma de EJEC. TOTAL 2015",'[1]Tabla Dinámica 2015'!$A$3,"CL",5,"PROGRAMA","Gestión de calidad y desarrollo organizacional")</f>
        <v>1371071745</v>
      </c>
      <c r="J22" s="8">
        <f t="shared" si="0"/>
        <v>0.97610240138170712</v>
      </c>
    </row>
    <row r="23" spans="1:10" ht="30" x14ac:dyDescent="0.25">
      <c r="A23" s="53"/>
      <c r="B23" s="15">
        <v>5.2</v>
      </c>
      <c r="C23" s="4" t="s">
        <v>30</v>
      </c>
      <c r="D23" s="14">
        <f>+GETPIVOTDATA("Cuenta de CP",'[1]Tabla Dinámica 2015'!$A$3,"CL",5,"PROGRAMA","Gestión de nuevas fuentes de recursos y optimización del gasto")</f>
        <v>1</v>
      </c>
      <c r="E23" s="6">
        <f>+GETPIVOTDATA("Promedio de %  AVANCE PROYECTO 2015",'[1]Tabla Dinámica 2015'!$A$3,"CL",5,"PROGRAMA","Gestión de nuevas fuentes de recursos y optimización del gasto")</f>
        <v>0.1757</v>
      </c>
      <c r="F23" s="7">
        <f>+GETPIVOTDATA("Suma de APROP. TOTAL 2015",'[1]Tabla Dinámica 2015'!$A$3,"CL",5,"PROGRAMA","Gestión de nuevas fuentes de recursos y optimización del gasto")</f>
        <v>293941279</v>
      </c>
      <c r="G23" s="8">
        <f>+F23/F24</f>
        <v>0.17305112944692186</v>
      </c>
      <c r="H23" s="54"/>
      <c r="I23" s="9">
        <f>+GETPIVOTDATA("Suma de EJEC. TOTAL 2015",'[1]Tabla Dinámica 2015'!$A$3,"CL",5,"PROGRAMA","Gestión de nuevas fuentes de recursos y optimización del gasto")</f>
        <v>289473713</v>
      </c>
      <c r="J23" s="8">
        <f t="shared" si="0"/>
        <v>0.9848011615952722</v>
      </c>
    </row>
    <row r="24" spans="1:10" s="13" customFormat="1" ht="29.25" customHeight="1" x14ac:dyDescent="0.25">
      <c r="A24" s="53"/>
      <c r="B24" s="17"/>
      <c r="C24" s="46" t="s">
        <v>14</v>
      </c>
      <c r="D24" s="47">
        <f>SUM(D22:D23)</f>
        <v>9</v>
      </c>
      <c r="E24" s="48">
        <f>AVERAGE(E22:E23)</f>
        <v>0.24458750000000001</v>
      </c>
      <c r="F24" s="49">
        <f>SUM(F22:F23)</f>
        <v>1698580529</v>
      </c>
      <c r="G24" s="50">
        <f>SUM(G22:G23)</f>
        <v>1</v>
      </c>
      <c r="H24" s="50">
        <f>+F24/F25</f>
        <v>1.1966640875349176E-2</v>
      </c>
      <c r="I24" s="51">
        <f>SUM(I22:I23)</f>
        <v>1660545458</v>
      </c>
      <c r="J24" s="50">
        <f t="shared" si="0"/>
        <v>0.97760773166145243</v>
      </c>
    </row>
    <row r="25" spans="1:10" s="13" customFormat="1" ht="18.75" x14ac:dyDescent="0.25">
      <c r="A25" s="23"/>
      <c r="B25" s="17"/>
      <c r="C25" s="52" t="s">
        <v>31</v>
      </c>
      <c r="D25" s="47">
        <f>+D24+D21+D18+D14+D8</f>
        <v>148</v>
      </c>
      <c r="E25" s="48">
        <f>AVERAGE(E8,E14,E18,E21,E24)</f>
        <v>0.26363831196990534</v>
      </c>
      <c r="F25" s="49">
        <f>+F24+F21+F18+F14+F8</f>
        <v>141942968515</v>
      </c>
      <c r="G25" s="50"/>
      <c r="H25" s="50">
        <f>+H24+H21+H18+H14+H8</f>
        <v>1</v>
      </c>
      <c r="I25" s="51">
        <f>+I24+I21+I18+I14+I8</f>
        <v>118090041345</v>
      </c>
      <c r="J25" s="50">
        <f>+I25/F25</f>
        <v>0.83195414736250695</v>
      </c>
    </row>
    <row r="26" spans="1:10" x14ac:dyDescent="0.25">
      <c r="D26" s="24"/>
    </row>
    <row r="27" spans="1:10" x14ac:dyDescent="0.25">
      <c r="D27" s="24"/>
    </row>
    <row r="28" spans="1:10" x14ac:dyDescent="0.25">
      <c r="D28" s="24"/>
    </row>
    <row r="29" spans="1:10" x14ac:dyDescent="0.25">
      <c r="D29" s="24"/>
    </row>
    <row r="30" spans="1:10" x14ac:dyDescent="0.25">
      <c r="D30" s="24"/>
    </row>
    <row r="31" spans="1:10" x14ac:dyDescent="0.25">
      <c r="D31" s="24"/>
    </row>
    <row r="32" spans="1:10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  <row r="36" spans="4:4" x14ac:dyDescent="0.25">
      <c r="D36" s="24"/>
    </row>
    <row r="37" spans="4:4" x14ac:dyDescent="0.25">
      <c r="D37" s="24"/>
    </row>
    <row r="38" spans="4:4" x14ac:dyDescent="0.25">
      <c r="D38" s="24"/>
    </row>
    <row r="39" spans="4:4" x14ac:dyDescent="0.25">
      <c r="D39" s="24"/>
    </row>
    <row r="40" spans="4:4" x14ac:dyDescent="0.25">
      <c r="D40" s="24"/>
    </row>
    <row r="41" spans="4:4" x14ac:dyDescent="0.25">
      <c r="D41" s="24"/>
    </row>
    <row r="42" spans="4:4" x14ac:dyDescent="0.25">
      <c r="D42" s="24"/>
    </row>
    <row r="43" spans="4:4" x14ac:dyDescent="0.25">
      <c r="D43" s="24"/>
    </row>
  </sheetData>
  <mergeCells count="11">
    <mergeCell ref="A19:A21"/>
    <mergeCell ref="H19:H20"/>
    <mergeCell ref="A22:A24"/>
    <mergeCell ref="H22:H23"/>
    <mergeCell ref="A2:J2"/>
    <mergeCell ref="A6:A8"/>
    <mergeCell ref="H6:H7"/>
    <mergeCell ref="A9:A14"/>
    <mergeCell ref="H9:H13"/>
    <mergeCell ref="A15:A18"/>
    <mergeCell ref="H15:H17"/>
  </mergeCells>
  <conditionalFormatting sqref="E6:E25">
    <cfRule type="iconSet" priority="1">
      <iconSet>
        <cfvo type="percent" val="0"/>
        <cfvo type="num" val="0.2"/>
        <cfvo type="num" val="0.33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A2" sqref="A2:F2"/>
    </sheetView>
  </sheetViews>
  <sheetFormatPr baseColWidth="10" defaultRowHeight="15" x14ac:dyDescent="0.25"/>
  <cols>
    <col min="1" max="1" width="46.7109375" style="25" customWidth="1"/>
    <col min="3" max="3" width="14.42578125" customWidth="1"/>
    <col min="5" max="5" width="14.7109375" bestFit="1" customWidth="1"/>
    <col min="7" max="7" width="13.85546875" hidden="1" customWidth="1"/>
  </cols>
  <sheetData>
    <row r="2" spans="1:10" ht="18.75" x14ac:dyDescent="0.3">
      <c r="A2" s="55" t="s">
        <v>32</v>
      </c>
      <c r="B2" s="55"/>
      <c r="C2" s="55"/>
      <c r="D2" s="55"/>
      <c r="E2" s="55"/>
      <c r="F2" s="55"/>
    </row>
    <row r="3" spans="1:10" x14ac:dyDescent="0.25">
      <c r="E3" s="1" t="s">
        <v>0</v>
      </c>
    </row>
    <row r="4" spans="1:10" ht="30" x14ac:dyDescent="0.25">
      <c r="A4" s="41" t="s">
        <v>1</v>
      </c>
      <c r="B4" s="42" t="s">
        <v>4</v>
      </c>
      <c r="C4" s="42" t="s">
        <v>33</v>
      </c>
      <c r="D4" s="42" t="s">
        <v>34</v>
      </c>
      <c r="E4" s="42" t="s">
        <v>35</v>
      </c>
      <c r="F4" s="42" t="s">
        <v>36</v>
      </c>
      <c r="G4" s="2" t="s">
        <v>37</v>
      </c>
      <c r="J4" s="11"/>
    </row>
    <row r="5" spans="1:10" ht="45" x14ac:dyDescent="0.25">
      <c r="A5" s="4" t="s">
        <v>11</v>
      </c>
      <c r="B5" s="3">
        <f>+[1]ObjEstyProg2015!D5</f>
        <v>17</v>
      </c>
      <c r="C5" s="26">
        <f>+[1]ObjEstyProg2015!F5</f>
        <v>3481995665</v>
      </c>
      <c r="D5" s="27">
        <f>+C5/C10</f>
        <v>2.4530948601600055E-2</v>
      </c>
      <c r="E5" s="26">
        <f>+[1]ObjEstyProg2015!I5</f>
        <v>3348929918</v>
      </c>
      <c r="F5" s="28">
        <f t="shared" ref="F5:F10" si="0">+E5/C5</f>
        <v>0.96178463163020622</v>
      </c>
      <c r="G5" s="28">
        <f>+[1]ObjEstyProg2015!E5</f>
        <v>0.28599062499999994</v>
      </c>
      <c r="J5" s="11"/>
    </row>
    <row r="6" spans="1:10" ht="30" x14ac:dyDescent="0.25">
      <c r="A6" s="4" t="s">
        <v>15</v>
      </c>
      <c r="B6" s="3">
        <f>+[1]ObjEstyProg2015!D11</f>
        <v>48</v>
      </c>
      <c r="C6" s="26">
        <f>+[1]ObjEstyProg2015!F11</f>
        <v>64696309189</v>
      </c>
      <c r="D6" s="27">
        <f>+C6/C10</f>
        <v>0.45579087055772782</v>
      </c>
      <c r="E6" s="26">
        <f>+[1]ObjEstyProg2015!I11</f>
        <v>46744934988</v>
      </c>
      <c r="F6" s="28">
        <f t="shared" si="0"/>
        <v>0.72252861985437367</v>
      </c>
      <c r="G6" s="28">
        <f>+[1]ObjEstyProg2015!E11</f>
        <v>0.26995632183908047</v>
      </c>
      <c r="J6" s="31"/>
    </row>
    <row r="7" spans="1:10" ht="45" x14ac:dyDescent="0.25">
      <c r="A7" s="29" t="s">
        <v>21</v>
      </c>
      <c r="B7" s="3">
        <f>+[1]ObjEstyProg2015!D15</f>
        <v>63</v>
      </c>
      <c r="C7" s="26">
        <f>+[1]ObjEstyProg2015!F15</f>
        <v>67576273365</v>
      </c>
      <c r="D7" s="27">
        <f>+C7/C10</f>
        <v>0.47608045732718907</v>
      </c>
      <c r="E7" s="26">
        <f>+[1]ObjEstyProg2015!I15</f>
        <v>62158510751</v>
      </c>
      <c r="F7" s="28">
        <f t="shared" si="0"/>
        <v>0.91982744321017795</v>
      </c>
      <c r="G7" s="28">
        <f>+[1]ObjEstyProg2015!E15</f>
        <v>0.27795711301044634</v>
      </c>
      <c r="J7" s="31"/>
    </row>
    <row r="8" spans="1:10" ht="45" x14ac:dyDescent="0.25">
      <c r="A8" s="29" t="s">
        <v>25</v>
      </c>
      <c r="B8" s="3">
        <f>+[1]ObjEstyProg2015!D18</f>
        <v>11</v>
      </c>
      <c r="C8" s="26">
        <f>+[1]ObjEstyProg2015!F18</f>
        <v>4489809767</v>
      </c>
      <c r="D8" s="27">
        <f>+C8/C10</f>
        <v>3.1631082638133877E-2</v>
      </c>
      <c r="E8" s="26">
        <f>+[1]ObjEstyProg2015!I18</f>
        <v>4177120230</v>
      </c>
      <c r="F8" s="28">
        <f t="shared" si="0"/>
        <v>0.93035572702918035</v>
      </c>
      <c r="G8" s="28">
        <f>+[1]ObjEstyProg2015!E19</f>
        <v>0.313475</v>
      </c>
      <c r="J8" s="31"/>
    </row>
    <row r="9" spans="1:10" ht="75" x14ac:dyDescent="0.25">
      <c r="A9" s="29" t="s">
        <v>28</v>
      </c>
      <c r="B9" s="3">
        <f>+[1]ObjEstyProg2015!D21</f>
        <v>9</v>
      </c>
      <c r="C9" s="26">
        <f>+[1]ObjEstyProg2015!F21</f>
        <v>1698580529</v>
      </c>
      <c r="D9" s="27">
        <f>+C9/C10</f>
        <v>1.1966640875349176E-2</v>
      </c>
      <c r="E9" s="26">
        <f>+[1]ObjEstyProg2015!I21</f>
        <v>1660545458</v>
      </c>
      <c r="F9" s="28">
        <f t="shared" si="0"/>
        <v>0.97760773166145243</v>
      </c>
      <c r="G9" s="28">
        <f>+[1]ObjEstyProg2015!E21</f>
        <v>0.24458750000000001</v>
      </c>
    </row>
    <row r="10" spans="1:10" s="13" customFormat="1" x14ac:dyDescent="0.25">
      <c r="A10" s="36" t="s">
        <v>31</v>
      </c>
      <c r="B10" s="37">
        <f>SUM(B5:B9)</f>
        <v>148</v>
      </c>
      <c r="C10" s="43">
        <f>SUM(C5:C9)</f>
        <v>141942968515</v>
      </c>
      <c r="D10" s="44">
        <f>SUM(D5:D9)</f>
        <v>1</v>
      </c>
      <c r="E10" s="43">
        <f>SUM(E5:E9)</f>
        <v>118090041345</v>
      </c>
      <c r="F10" s="45">
        <f t="shared" si="0"/>
        <v>0.83195414736250695</v>
      </c>
      <c r="G10" s="30">
        <f>+[1]ObjEstyProg2015!E22</f>
        <v>0.26363831196990534</v>
      </c>
    </row>
    <row r="11" spans="1:10" x14ac:dyDescent="0.25">
      <c r="A11"/>
    </row>
    <row r="12" spans="1:10" x14ac:dyDescent="0.25">
      <c r="A12"/>
    </row>
  </sheetData>
  <mergeCells count="1">
    <mergeCell ref="A2:F2"/>
  </mergeCells>
  <conditionalFormatting sqref="G1:G1048576">
    <cfRule type="iconSet" priority="1">
      <iconSet>
        <cfvo type="percent" val="0"/>
        <cfvo type="num" val="0.2"/>
        <cfvo type="num" val="0.33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2" sqref="A2:I2"/>
    </sheetView>
  </sheetViews>
  <sheetFormatPr baseColWidth="10" defaultRowHeight="15" x14ac:dyDescent="0.25"/>
  <cols>
    <col min="1" max="1" width="28.85546875" customWidth="1"/>
    <col min="2" max="2" width="14.42578125" customWidth="1"/>
    <col min="3" max="4" width="14.7109375" customWidth="1"/>
    <col min="5" max="6" width="13.7109375" bestFit="1" customWidth="1"/>
    <col min="7" max="7" width="14.7109375" bestFit="1" customWidth="1"/>
    <col min="8" max="8" width="11.5703125" hidden="1" customWidth="1"/>
    <col min="9" max="9" width="11.5703125" customWidth="1"/>
  </cols>
  <sheetData>
    <row r="2" spans="1:9" ht="18.75" x14ac:dyDescent="0.3">
      <c r="A2" s="55" t="s">
        <v>57</v>
      </c>
      <c r="B2" s="55"/>
      <c r="C2" s="55"/>
      <c r="D2" s="55"/>
      <c r="E2" s="55"/>
      <c r="F2" s="55"/>
      <c r="G2" s="55"/>
      <c r="H2" s="55"/>
      <c r="I2" s="55"/>
    </row>
    <row r="3" spans="1:9" x14ac:dyDescent="0.25">
      <c r="G3" s="1" t="s">
        <v>0</v>
      </c>
    </row>
    <row r="4" spans="1:9" ht="45" x14ac:dyDescent="0.25">
      <c r="A4" s="36" t="s">
        <v>38</v>
      </c>
      <c r="B4" s="36" t="s">
        <v>39</v>
      </c>
      <c r="C4" s="36" t="s">
        <v>40</v>
      </c>
      <c r="D4" s="36" t="s">
        <v>41</v>
      </c>
      <c r="E4" s="36" t="s">
        <v>42</v>
      </c>
      <c r="F4" s="36" t="s">
        <v>43</v>
      </c>
      <c r="G4" s="36" t="s">
        <v>44</v>
      </c>
      <c r="H4" s="36" t="s">
        <v>45</v>
      </c>
      <c r="I4" s="36" t="s">
        <v>46</v>
      </c>
    </row>
    <row r="5" spans="1:9" x14ac:dyDescent="0.25">
      <c r="A5" s="32" t="s">
        <v>47</v>
      </c>
      <c r="B5" s="33">
        <v>683253401</v>
      </c>
      <c r="C5" s="33">
        <v>183219570</v>
      </c>
      <c r="D5" s="33">
        <f>+B5+C5</f>
        <v>866472971</v>
      </c>
      <c r="E5" s="33">
        <v>606392673</v>
      </c>
      <c r="F5" s="33">
        <v>124062898</v>
      </c>
      <c r="G5" s="33">
        <f>+E5+F5</f>
        <v>730455571</v>
      </c>
      <c r="H5" s="34">
        <v>0.11682727272727272</v>
      </c>
      <c r="I5" s="35">
        <v>11</v>
      </c>
    </row>
    <row r="6" spans="1:9" x14ac:dyDescent="0.25">
      <c r="A6" s="32" t="s">
        <v>48</v>
      </c>
      <c r="B6" s="33">
        <v>15056823165</v>
      </c>
      <c r="C6" s="33">
        <v>34688505581</v>
      </c>
      <c r="D6" s="33">
        <f t="shared" ref="D6:D14" si="0">+B6+C6</f>
        <v>49745328746</v>
      </c>
      <c r="E6" s="33">
        <v>14935936994</v>
      </c>
      <c r="F6" s="33">
        <v>31559873985</v>
      </c>
      <c r="G6" s="33">
        <f t="shared" ref="G6:G14" si="1">+E6+F6</f>
        <v>46495810979</v>
      </c>
      <c r="H6" s="34">
        <v>0.12519599999999997</v>
      </c>
      <c r="I6" s="35">
        <v>25</v>
      </c>
    </row>
    <row r="7" spans="1:9" x14ac:dyDescent="0.25">
      <c r="A7" s="32" t="s">
        <v>49</v>
      </c>
      <c r="B7" s="33">
        <v>625083801</v>
      </c>
      <c r="C7" s="33">
        <v>387267361</v>
      </c>
      <c r="D7" s="33">
        <f t="shared" si="0"/>
        <v>1012351162</v>
      </c>
      <c r="E7" s="33">
        <v>523899955</v>
      </c>
      <c r="F7" s="33">
        <v>214104914</v>
      </c>
      <c r="G7" s="33">
        <f t="shared" si="1"/>
        <v>738004869</v>
      </c>
      <c r="H7" s="34">
        <v>0.13282222222222226</v>
      </c>
      <c r="I7" s="35">
        <v>9</v>
      </c>
    </row>
    <row r="8" spans="1:9" x14ac:dyDescent="0.25">
      <c r="A8" s="32" t="s">
        <v>50</v>
      </c>
      <c r="B8" s="33">
        <v>5202266726</v>
      </c>
      <c r="C8" s="33">
        <v>8421994017</v>
      </c>
      <c r="D8" s="33">
        <f t="shared" si="0"/>
        <v>13624260743</v>
      </c>
      <c r="E8" s="33">
        <v>4873935685</v>
      </c>
      <c r="F8" s="33">
        <v>7859583093</v>
      </c>
      <c r="G8" s="33">
        <f t="shared" si="1"/>
        <v>12733518778</v>
      </c>
      <c r="H8" s="34">
        <v>0.15317777777777775</v>
      </c>
      <c r="I8" s="35">
        <v>18</v>
      </c>
    </row>
    <row r="9" spans="1:9" x14ac:dyDescent="0.25">
      <c r="A9" s="32" t="s">
        <v>51</v>
      </c>
      <c r="B9" s="33">
        <v>6884300649</v>
      </c>
      <c r="C9" s="33">
        <v>4716303798</v>
      </c>
      <c r="D9" s="33">
        <f t="shared" si="0"/>
        <v>11600604447</v>
      </c>
      <c r="E9" s="33">
        <v>6422032714</v>
      </c>
      <c r="F9" s="33">
        <v>4497044013</v>
      </c>
      <c r="G9" s="33">
        <f t="shared" si="1"/>
        <v>10919076727</v>
      </c>
      <c r="H9" s="34">
        <v>0.1342416666666667</v>
      </c>
      <c r="I9" s="35">
        <v>24</v>
      </c>
    </row>
    <row r="10" spans="1:9" x14ac:dyDescent="0.25">
      <c r="A10" s="32" t="s">
        <v>52</v>
      </c>
      <c r="B10" s="33">
        <v>18720224542</v>
      </c>
      <c r="C10" s="33">
        <v>37517924312</v>
      </c>
      <c r="D10" s="33">
        <f t="shared" si="0"/>
        <v>56238148854</v>
      </c>
      <c r="E10" s="33">
        <v>16232616815</v>
      </c>
      <c r="F10" s="33">
        <v>21630466041</v>
      </c>
      <c r="G10" s="33">
        <f t="shared" si="1"/>
        <v>37863082856</v>
      </c>
      <c r="H10" s="34">
        <v>0.16943666666666665</v>
      </c>
      <c r="I10" s="35">
        <v>31</v>
      </c>
    </row>
    <row r="11" spans="1:9" x14ac:dyDescent="0.25">
      <c r="A11" s="32" t="s">
        <v>53</v>
      </c>
      <c r="B11" s="33">
        <v>1131666667</v>
      </c>
      <c r="C11" s="33"/>
      <c r="D11" s="33">
        <f t="shared" si="0"/>
        <v>1131666667</v>
      </c>
      <c r="E11" s="33">
        <v>1129993077</v>
      </c>
      <c r="F11" s="33"/>
      <c r="G11" s="33">
        <f t="shared" si="1"/>
        <v>1129993077</v>
      </c>
      <c r="H11" s="34">
        <v>7.0749999999999993E-2</v>
      </c>
      <c r="I11" s="35">
        <v>6</v>
      </c>
    </row>
    <row r="12" spans="1:9" x14ac:dyDescent="0.25">
      <c r="A12" s="32" t="s">
        <v>54</v>
      </c>
      <c r="B12" s="33">
        <v>611986201</v>
      </c>
      <c r="C12" s="33">
        <v>273884651</v>
      </c>
      <c r="D12" s="33">
        <f t="shared" si="0"/>
        <v>885870852</v>
      </c>
      <c r="E12" s="33">
        <v>559251456</v>
      </c>
      <c r="F12" s="33">
        <v>206442044</v>
      </c>
      <c r="G12" s="33">
        <f t="shared" si="1"/>
        <v>765693500</v>
      </c>
      <c r="H12" s="34">
        <v>0.13077999999999998</v>
      </c>
      <c r="I12" s="35">
        <v>5</v>
      </c>
    </row>
    <row r="13" spans="1:9" x14ac:dyDescent="0.25">
      <c r="A13" s="32" t="s">
        <v>55</v>
      </c>
      <c r="B13" s="33">
        <v>1264171023</v>
      </c>
      <c r="C13" s="33">
        <v>4981993958</v>
      </c>
      <c r="D13" s="33">
        <f t="shared" si="0"/>
        <v>6246164981</v>
      </c>
      <c r="E13" s="33">
        <v>1223081987</v>
      </c>
      <c r="F13" s="33">
        <v>4901585202</v>
      </c>
      <c r="G13" s="33">
        <f t="shared" si="1"/>
        <v>6124667189</v>
      </c>
      <c r="H13" s="34">
        <v>0.18349333333333331</v>
      </c>
      <c r="I13" s="35">
        <v>15</v>
      </c>
    </row>
    <row r="14" spans="1:9" x14ac:dyDescent="0.25">
      <c r="A14" s="32" t="s">
        <v>56</v>
      </c>
      <c r="B14" s="33">
        <v>35000000</v>
      </c>
      <c r="C14" s="33">
        <v>557099092</v>
      </c>
      <c r="D14" s="33">
        <f t="shared" si="0"/>
        <v>592099092</v>
      </c>
      <c r="E14" s="33">
        <v>35000000</v>
      </c>
      <c r="F14" s="33">
        <v>554737799</v>
      </c>
      <c r="G14" s="33">
        <f t="shared" si="1"/>
        <v>589737799</v>
      </c>
      <c r="H14" s="34">
        <v>8.2549999999999998E-2</v>
      </c>
      <c r="I14" s="35">
        <v>4</v>
      </c>
    </row>
    <row r="15" spans="1:9" x14ac:dyDescent="0.25">
      <c r="A15" s="37" t="s">
        <v>31</v>
      </c>
      <c r="B15" s="38">
        <f>SUM(B5:B14)</f>
        <v>50214776175</v>
      </c>
      <c r="C15" s="38">
        <f t="shared" ref="C15:G15" si="2">SUM(C5:C14)</f>
        <v>91728192340</v>
      </c>
      <c r="D15" s="38">
        <f t="shared" si="2"/>
        <v>141942968515</v>
      </c>
      <c r="E15" s="38">
        <f t="shared" si="2"/>
        <v>46542141356</v>
      </c>
      <c r="F15" s="38">
        <f t="shared" si="2"/>
        <v>71547899989</v>
      </c>
      <c r="G15" s="38">
        <f t="shared" si="2"/>
        <v>118090041345</v>
      </c>
      <c r="H15" s="39">
        <v>0.14172448979591834</v>
      </c>
      <c r="I15" s="40">
        <f>SUM(I5:I14)</f>
        <v>148</v>
      </c>
    </row>
  </sheetData>
  <mergeCells count="1"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ObjeEstProg</vt:lpstr>
      <vt:lpstr>ObjEstrat</vt:lpstr>
      <vt:lpstr>Sedes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Sanchez</dc:creator>
  <cp:lastModifiedBy>MireyaUrrego</cp:lastModifiedBy>
  <dcterms:created xsi:type="dcterms:W3CDTF">2016-09-26T14:23:53Z</dcterms:created>
  <dcterms:modified xsi:type="dcterms:W3CDTF">2016-09-26T15:37:43Z</dcterms:modified>
</cp:coreProperties>
</file>